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aerusing/Desktop/"/>
    </mc:Choice>
  </mc:AlternateContent>
  <xr:revisionPtr revIDLastSave="0" documentId="8_{F1D68135-46BE-F344-B642-299AE835AE5E}" xr6:coauthVersionLast="47" xr6:coauthVersionMax="47" xr10:uidLastSave="{00000000-0000-0000-0000-000000000000}"/>
  <bookViews>
    <workbookView xWindow="10180" yWindow="460" windowWidth="24220" windowHeight="15500" xr2:uid="{00000000-000D-0000-FFFF-FFFF00000000}"/>
  </bookViews>
  <sheets>
    <sheet name="OPM Choice Illustration" sheetId="2" r:id="rId1"/>
  </sheets>
  <definedNames>
    <definedName name="_xlnm.Print_Area" localSheetId="0">'OPM Choice Illustration'!$A$9:$O$38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2" l="1"/>
  <c r="C60" i="2"/>
  <c r="B60" i="2"/>
  <c r="F76" i="2"/>
  <c r="C78" i="2" l="1"/>
  <c r="F78" i="2" s="1"/>
  <c r="C77" i="2"/>
  <c r="B58" i="2" l="1"/>
  <c r="C58" i="2" s="1"/>
  <c r="B56" i="2"/>
  <c r="B53" i="2"/>
  <c r="B61" i="2" s="1"/>
  <c r="F52" i="2"/>
  <c r="C42" i="2"/>
  <c r="C56" i="2" l="1"/>
  <c r="F60" i="2"/>
  <c r="F61" i="2"/>
  <c r="C51" i="2"/>
  <c r="C74" i="2"/>
  <c r="C75" i="2"/>
  <c r="F58" i="2"/>
  <c r="H58" i="2" s="1"/>
  <c r="C43" i="2"/>
  <c r="B57" i="2" s="1"/>
  <c r="B51" i="2"/>
  <c r="B62" i="2" s="1"/>
  <c r="F56" i="2"/>
  <c r="B68" i="2" l="1"/>
  <c r="H56" i="2"/>
  <c r="F20" i="2"/>
  <c r="C52" i="2"/>
  <c r="C62" i="2" s="1"/>
  <c r="C54" i="2"/>
  <c r="H51" i="2"/>
  <c r="C81" i="2"/>
  <c r="B59" i="2"/>
  <c r="F51" i="2"/>
  <c r="F62" i="2" s="1"/>
  <c r="F57" i="2"/>
  <c r="C57" i="2"/>
  <c r="F21" i="2" l="1"/>
  <c r="B66" i="2"/>
  <c r="F65" i="2" s="1"/>
  <c r="F68" i="2"/>
  <c r="C65" i="2"/>
  <c r="C59" i="2"/>
  <c r="H21" i="2" s="1"/>
  <c r="C66" i="2"/>
  <c r="C67" i="2" s="1"/>
  <c r="H62" i="2"/>
  <c r="H20" i="2"/>
  <c r="C53" i="2"/>
  <c r="H52" i="2"/>
  <c r="F75" i="2"/>
  <c r="F19" i="2"/>
  <c r="F77" i="2"/>
  <c r="F59" i="2"/>
  <c r="F66" i="2" s="1"/>
  <c r="F74" i="2"/>
  <c r="F18" i="2"/>
  <c r="H57" i="2"/>
  <c r="F23" i="2" l="1"/>
  <c r="H23" i="2" s="1"/>
  <c r="H59" i="2"/>
  <c r="H66" i="2"/>
  <c r="H67" i="2" s="1"/>
  <c r="B63" i="2"/>
  <c r="C79" i="2"/>
  <c r="C82" i="2" s="1"/>
  <c r="B64" i="2" s="1"/>
  <c r="C61" i="2"/>
  <c r="F79" i="2"/>
  <c r="F82" i="2" s="1"/>
  <c r="H61" i="2"/>
  <c r="H68" i="2" s="1"/>
  <c r="F81" i="2"/>
  <c r="F29" i="2"/>
  <c r="F30" i="2"/>
  <c r="H18" i="2"/>
  <c r="F24" i="2" s="1"/>
  <c r="F32" i="2"/>
  <c r="H32" i="2" s="1"/>
  <c r="H41" i="2" l="1"/>
  <c r="H42" i="2" s="1"/>
  <c r="H43" i="2" s="1"/>
  <c r="H44" i="2" s="1"/>
  <c r="H35" i="2" s="1"/>
  <c r="H19" i="2"/>
  <c r="C68" i="2"/>
  <c r="F64" i="2"/>
  <c r="F63" i="2"/>
  <c r="H29" i="2"/>
  <c r="H30" i="2"/>
  <c r="H45" i="2" l="1"/>
  <c r="F33" i="2"/>
</calcChain>
</file>

<file path=xl/sharedStrings.xml><?xml version="1.0" encoding="utf-8"?>
<sst xmlns="http://schemas.openxmlformats.org/spreadsheetml/2006/main" count="93" uniqueCount="68">
  <si>
    <t>Sales</t>
  </si>
  <si>
    <t>EBITDAR Margin</t>
  </si>
  <si>
    <t>Rent-to-Sales Ratio</t>
  </si>
  <si>
    <t>Cap Rate (RE)</t>
  </si>
  <si>
    <t>Real Estate Value</t>
  </si>
  <si>
    <t>Debt</t>
  </si>
  <si>
    <t>Real Estate Loan-to-Value</t>
  </si>
  <si>
    <t xml:space="preserve">Real Estate Debt </t>
  </si>
  <si>
    <t>Amortization (Years)</t>
  </si>
  <si>
    <t>Interest Rate</t>
  </si>
  <si>
    <t>Payment Constant</t>
  </si>
  <si>
    <t>Real Estate</t>
  </si>
  <si>
    <t>Interest Year 1</t>
  </si>
  <si>
    <t>Lease</t>
  </si>
  <si>
    <t>Own</t>
  </si>
  <si>
    <t>Investment</t>
  </si>
  <si>
    <t>Operating Margin</t>
  </si>
  <si>
    <t>% Financed</t>
  </si>
  <si>
    <t>% More Financed</t>
  </si>
  <si>
    <t>Principal Balance</t>
  </si>
  <si>
    <t>Annual Sales Growth</t>
  </si>
  <si>
    <t>Payment Constant Year 5</t>
  </si>
  <si>
    <t>Annual Debt Payment</t>
  </si>
  <si>
    <t>Pre-Tax Equity Yields</t>
  </si>
  <si>
    <t>Real Estate Lease</t>
  </si>
  <si>
    <t>Income  Statement</t>
  </si>
  <si>
    <t>Model Calculations</t>
  </si>
  <si>
    <t>RE Lease</t>
  </si>
  <si>
    <t>RE Own</t>
  </si>
  <si>
    <t>Annual Lease Escalations</t>
  </si>
  <si>
    <t>=</t>
  </si>
  <si>
    <t>Working Capital/Real Estate Value (%)</t>
  </si>
  <si>
    <t>Working Capital Value</t>
  </si>
  <si>
    <t>Cash Flow</t>
  </si>
  <si>
    <t>Average Equity Tied Up In Ownership</t>
  </si>
  <si>
    <t>Number of Leased Stores Equity Represents</t>
  </si>
  <si>
    <t>Excess of Cash Flow Over Owned Store</t>
  </si>
  <si>
    <t>Current Pre-Tax ROE</t>
  </si>
  <si>
    <t>Current Pre-Tax Cash Yield</t>
  </si>
  <si>
    <t>Return Multiple vs Landlord</t>
  </si>
  <si>
    <t>Cash Yield Multiple Delta</t>
  </si>
  <si>
    <t>Average Five Year Cash Flow Multiple Over Ownership</t>
  </si>
  <si>
    <t>Return Multiple Advantage</t>
  </si>
  <si>
    <t>Average Annual Cash Five Year Cash Flow of Leased Units</t>
  </si>
  <si>
    <t>Five Year Cash Flow Lease Advantage With Growth Investment</t>
  </si>
  <si>
    <t>Sales:Investment Ratio</t>
  </si>
  <si>
    <t xml:space="preserve">Investment % Funded with Equity </t>
  </si>
  <si>
    <t>Working Capital Component of Business Investment</t>
  </si>
  <si>
    <t>Fixed Charge Coverage</t>
  </si>
  <si>
    <t>Equity Invested</t>
  </si>
  <si>
    <t>OPM Advantage</t>
  </si>
  <si>
    <t>or</t>
  </si>
  <si>
    <t>First Year</t>
  </si>
  <si>
    <t>Fifth Year</t>
  </si>
  <si>
    <t>First Year Results</t>
  </si>
  <si>
    <t>Fifth Year Results</t>
  </si>
  <si>
    <t>First Year Landlord Results</t>
  </si>
  <si>
    <t>Fifth Year Landlord Results</t>
  </si>
  <si>
    <t>Real Estate Leasing vs Owning Analysis</t>
  </si>
  <si>
    <t>Chapter Eight Illustration</t>
  </si>
  <si>
    <t>Finding the Right OPM Mix</t>
  </si>
  <si>
    <t>Assumptions</t>
  </si>
  <si>
    <t>Results</t>
  </si>
  <si>
    <r>
      <t>Current Pre-Tax Yield on Equity</t>
    </r>
    <r>
      <rPr>
        <vertAlign val="superscript"/>
        <sz val="11"/>
        <color theme="1"/>
        <rFont val="Arial"/>
        <family val="2"/>
      </rPr>
      <t>1</t>
    </r>
  </si>
  <si>
    <r>
      <t>Pre-Tax Cash Flow Equity Yield</t>
    </r>
    <r>
      <rPr>
        <vertAlign val="superscript"/>
        <sz val="11"/>
        <color theme="1"/>
        <rFont val="Arial"/>
        <family val="2"/>
      </rPr>
      <t>2</t>
    </r>
  </si>
  <si>
    <r>
      <rPr>
        <i/>
        <vertAlign val="superscript"/>
        <sz val="10"/>
        <color theme="1"/>
        <rFont val="Arial"/>
        <family val="2"/>
      </rPr>
      <t xml:space="preserve">1 </t>
    </r>
    <r>
      <rPr>
        <i/>
        <sz val="10"/>
        <color theme="1"/>
        <rFont val="Arial"/>
        <family val="2"/>
      </rPr>
      <t xml:space="preserve">Operating Cash Flow ÷ Amount of Equity Investment </t>
    </r>
  </si>
  <si>
    <r>
      <rPr>
        <i/>
        <vertAlign val="superscript"/>
        <sz val="10"/>
        <color theme="1"/>
        <rFont val="Arial"/>
        <family val="2"/>
      </rPr>
      <t>2 (</t>
    </r>
    <r>
      <rPr>
        <i/>
        <sz val="10"/>
        <color theme="1"/>
        <rFont val="Arial"/>
        <family val="2"/>
      </rPr>
      <t>EBITDA - Loan Principal Payments) ÷ Amount of Cash Equity Invested</t>
    </r>
  </si>
  <si>
    <r>
      <t>Operating Margin</t>
    </r>
    <r>
      <rPr>
        <i/>
        <sz val="11"/>
        <color rgb="FFFF0000"/>
        <rFont val="Arial"/>
        <family val="2"/>
      </rPr>
      <t xml:space="preserve"> (input)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</si>
</sst>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&quot;x&quot;"/>
    <numFmt numFmtId="167" formatCode="0.000"/>
    <numFmt numFmtId="168" formatCode="_(* #,##0.000_);_(* \(#,##0.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i/>
      <sz val="16"/>
      <color theme="1"/>
      <name val="Arial"/>
      <family val="2"/>
    </font>
    <font>
      <i/>
      <u/>
      <sz val="16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i/>
      <sz val="12"/>
      <color theme="1"/>
      <name val="Arial"/>
      <family val="2"/>
    </font>
    <font>
      <b/>
      <sz val="11"/>
      <color rgb="FF76938C"/>
      <name val="Arial"/>
      <family val="2"/>
    </font>
    <font>
      <b/>
      <i/>
      <u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sz val="11"/>
      <color theme="3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u val="singleAccounting"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sz val="22"/>
      <color theme="0" tint="-0.499984740745262"/>
      <name val="Arial"/>
      <family val="2"/>
    </font>
    <font>
      <b/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164" fontId="0" fillId="0" borderId="0" xfId="1" applyNumberFormat="1" applyFont="1" applyAlignment="1">
      <alignment horizontal="right"/>
    </xf>
    <xf numFmtId="10" fontId="0" fillId="0" borderId="0" xfId="0" applyNumberFormat="1"/>
    <xf numFmtId="164" fontId="0" fillId="0" borderId="0" xfId="1" applyNumberFormat="1" applyFont="1"/>
    <xf numFmtId="5" fontId="0" fillId="0" borderId="0" xfId="0" applyNumberFormat="1"/>
    <xf numFmtId="164" fontId="0" fillId="0" borderId="0" xfId="0" applyNumberFormat="1"/>
    <xf numFmtId="0" fontId="0" fillId="0" borderId="0" xfId="0" applyBorder="1" applyAlignment="1">
      <alignment horizontal="center"/>
    </xf>
    <xf numFmtId="7" fontId="0" fillId="0" borderId="0" xfId="0" applyNumberFormat="1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Continuous"/>
    </xf>
    <xf numFmtId="0" fontId="8" fillId="0" borderId="0" xfId="0" applyFont="1" applyFill="1" applyBorder="1"/>
    <xf numFmtId="0" fontId="6" fillId="0" borderId="0" xfId="0" applyFont="1" applyFill="1" applyBorder="1" applyAlignment="1"/>
    <xf numFmtId="0" fontId="3" fillId="0" borderId="0" xfId="0" applyFont="1" applyBorder="1" applyAlignment="1">
      <alignment horizontal="centerContinuous"/>
    </xf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 applyAlignment="1">
      <alignment horizontal="left" indent="1"/>
    </xf>
    <xf numFmtId="6" fontId="12" fillId="0" borderId="0" xfId="1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165" fontId="12" fillId="0" borderId="0" xfId="2" applyNumberFormat="1" applyFont="1" applyBorder="1" applyAlignment="1">
      <alignment horizontal="right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165" fontId="12" fillId="0" borderId="0" xfId="0" applyNumberFormat="1" applyFont="1" applyBorder="1"/>
    <xf numFmtId="0" fontId="3" fillId="2" borderId="0" xfId="0" applyFont="1" applyFill="1" applyBorder="1"/>
    <xf numFmtId="10" fontId="3" fillId="2" borderId="0" xfId="2" applyNumberFormat="1" applyFont="1" applyFill="1" applyBorder="1"/>
    <xf numFmtId="0" fontId="12" fillId="0" borderId="0" xfId="0" applyFont="1" applyBorder="1"/>
    <xf numFmtId="168" fontId="3" fillId="2" borderId="0" xfId="1" applyNumberFormat="1" applyFont="1" applyFill="1" applyBorder="1"/>
    <xf numFmtId="10" fontId="3" fillId="2" borderId="0" xfId="0" applyNumberFormat="1" applyFont="1" applyFill="1" applyBorder="1"/>
    <xf numFmtId="10" fontId="3" fillId="2" borderId="0" xfId="0" quotePrefix="1" applyNumberFormat="1" applyFont="1" applyFill="1" applyBorder="1" applyAlignment="1">
      <alignment horizontal="right"/>
    </xf>
    <xf numFmtId="5" fontId="3" fillId="2" borderId="0" xfId="1" applyNumberFormat="1" applyFont="1" applyFill="1" applyBorder="1" applyAlignment="1">
      <alignment horizontal="right"/>
    </xf>
    <xf numFmtId="166" fontId="15" fillId="2" borderId="0" xfId="1" applyNumberFormat="1" applyFont="1" applyFill="1" applyBorder="1"/>
    <xf numFmtId="0" fontId="3" fillId="0" borderId="0" xfId="0" applyFont="1" applyFill="1" applyBorder="1" applyAlignment="1">
      <alignment horizontal="left" indent="1"/>
    </xf>
    <xf numFmtId="9" fontId="12" fillId="0" borderId="0" xfId="0" applyNumberFormat="1" applyFont="1" applyBorder="1"/>
    <xf numFmtId="0" fontId="11" fillId="0" borderId="0" xfId="0" applyFont="1" applyFill="1" applyBorder="1"/>
    <xf numFmtId="164" fontId="12" fillId="0" borderId="0" xfId="1" applyNumberFormat="1" applyFont="1" applyBorder="1" applyAlignment="1">
      <alignment horizontal="right"/>
    </xf>
    <xf numFmtId="165" fontId="12" fillId="0" borderId="0" xfId="2" applyNumberFormat="1" applyFont="1" applyBorder="1"/>
    <xf numFmtId="166" fontId="16" fillId="0" borderId="0" xfId="1" applyNumberFormat="1" applyFont="1" applyBorder="1"/>
    <xf numFmtId="10" fontId="16" fillId="0" borderId="0" xfId="2" applyNumberFormat="1" applyFont="1" applyBorder="1"/>
    <xf numFmtId="0" fontId="17" fillId="0" borderId="0" xfId="0" applyFont="1" applyFill="1" applyBorder="1"/>
    <xf numFmtId="165" fontId="3" fillId="0" borderId="0" xfId="2" applyNumberFormat="1" applyFont="1" applyBorder="1"/>
    <xf numFmtId="164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5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5" fontId="3" fillId="0" borderId="6" xfId="0" applyNumberFormat="1" applyFont="1" applyBorder="1"/>
    <xf numFmtId="164" fontId="19" fillId="0" borderId="0" xfId="1" applyNumberFormat="1" applyFont="1" applyAlignment="1">
      <alignment horizontal="right"/>
    </xf>
    <xf numFmtId="164" fontId="3" fillId="0" borderId="0" xfId="1" applyNumberFormat="1" applyFont="1" applyBorder="1"/>
    <xf numFmtId="43" fontId="3" fillId="0" borderId="0" xfId="1" applyFont="1"/>
    <xf numFmtId="0" fontId="3" fillId="0" borderId="3" xfId="0" applyFont="1" applyBorder="1"/>
    <xf numFmtId="0" fontId="3" fillId="0" borderId="4" xfId="0" applyFont="1" applyBorder="1"/>
    <xf numFmtId="5" fontId="3" fillId="0" borderId="5" xfId="0" applyNumberFormat="1" applyFont="1" applyBorder="1"/>
    <xf numFmtId="166" fontId="15" fillId="0" borderId="0" xfId="1" applyNumberFormat="1" applyFont="1" applyFill="1" applyBorder="1"/>
    <xf numFmtId="0" fontId="21" fillId="0" borderId="0" xfId="0" applyFont="1"/>
    <xf numFmtId="165" fontId="7" fillId="0" borderId="0" xfId="2" applyNumberFormat="1" applyFont="1"/>
    <xf numFmtId="164" fontId="7" fillId="0" borderId="4" xfId="1" applyNumberFormat="1" applyFont="1" applyBorder="1" applyAlignment="1">
      <alignment horizontal="right"/>
    </xf>
    <xf numFmtId="165" fontId="3" fillId="0" borderId="0" xfId="2" applyNumberFormat="1" applyFont="1"/>
    <xf numFmtId="5" fontId="3" fillId="0" borderId="0" xfId="1" applyNumberFormat="1" applyFont="1" applyAlignment="1">
      <alignment horizontal="right"/>
    </xf>
    <xf numFmtId="6" fontId="3" fillId="0" borderId="0" xfId="1" applyNumberFormat="1" applyFont="1"/>
    <xf numFmtId="10" fontId="3" fillId="0" borderId="0" xfId="2" applyNumberFormat="1" applyFont="1"/>
    <xf numFmtId="10" fontId="3" fillId="0" borderId="0" xfId="2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165" fontId="9" fillId="0" borderId="0" xfId="2" applyNumberFormat="1" applyFont="1"/>
    <xf numFmtId="9" fontId="3" fillId="0" borderId="0" xfId="2" applyFont="1"/>
    <xf numFmtId="164" fontId="15" fillId="0" borderId="0" xfId="1" applyNumberFormat="1" applyFont="1" applyFill="1" applyBorder="1"/>
    <xf numFmtId="43" fontId="15" fillId="0" borderId="0" xfId="1" applyNumberFormat="1" applyFont="1" applyFill="1" applyBorder="1"/>
    <xf numFmtId="164" fontId="3" fillId="0" borderId="0" xfId="1" applyNumberFormat="1" applyFont="1"/>
    <xf numFmtId="7" fontId="3" fillId="0" borderId="0" xfId="0" applyNumberFormat="1" applyFont="1"/>
    <xf numFmtId="165" fontId="22" fillId="0" borderId="0" xfId="2" applyNumberFormat="1" applyFont="1"/>
    <xf numFmtId="10" fontId="22" fillId="0" borderId="0" xfId="0" applyNumberFormat="1" applyFont="1"/>
    <xf numFmtId="10" fontId="15" fillId="0" borderId="0" xfId="0" applyNumberFormat="1" applyFont="1"/>
    <xf numFmtId="167" fontId="3" fillId="0" borderId="0" xfId="0" applyNumberFormat="1" applyFont="1"/>
    <xf numFmtId="0" fontId="0" fillId="2" borderId="0" xfId="0" applyFill="1"/>
    <xf numFmtId="0" fontId="3" fillId="2" borderId="0" xfId="0" applyFont="1" applyFill="1"/>
    <xf numFmtId="0" fontId="0" fillId="2" borderId="0" xfId="0" applyFill="1" applyBorder="1"/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4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6938C"/>
      <color rgb="FF76937D"/>
      <color rgb="FF7693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142876</xdr:rowOff>
    </xdr:from>
    <xdr:to>
      <xdr:col>2</xdr:col>
      <xdr:colOff>1088546</xdr:colOff>
      <xdr:row>1</xdr:row>
      <xdr:rowOff>742950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FA7980-3843-5D42-B6B8-267B2B68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333376"/>
          <a:ext cx="5050946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2"/>
  <sheetViews>
    <sheetView showGridLines="0" tabSelected="1" zoomScale="80" zoomScaleNormal="80" workbookViewId="0">
      <selection activeCell="A4" sqref="A4:C4"/>
    </sheetView>
  </sheetViews>
  <sheetFormatPr baseColWidth="10" defaultColWidth="8.83203125" defaultRowHeight="15" x14ac:dyDescent="0.2"/>
  <cols>
    <col min="1" max="1" width="25.6640625" bestFit="1" customWidth="1"/>
    <col min="2" max="2" width="27.6640625" customWidth="1"/>
    <col min="3" max="3" width="23" customWidth="1"/>
    <col min="4" max="4" width="5.6640625" customWidth="1"/>
    <col min="5" max="5" width="35.6640625" customWidth="1"/>
    <col min="6" max="6" width="20.6640625" customWidth="1"/>
    <col min="7" max="7" width="2.6640625" customWidth="1"/>
    <col min="8" max="8" width="12.33203125" customWidth="1"/>
    <col min="9" max="10" width="4.6640625" customWidth="1"/>
    <col min="11" max="15" width="19.6640625" customWidth="1"/>
    <col min="16" max="16" width="23" customWidth="1"/>
    <col min="17" max="17" width="12.6640625" customWidth="1"/>
  </cols>
  <sheetData>
    <row r="1" spans="1:4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</row>
    <row r="2" spans="1:41" ht="64" customHeight="1" x14ac:dyDescent="0.55000000000000004">
      <c r="A2" s="85"/>
      <c r="B2" s="85"/>
      <c r="C2" s="85"/>
      <c r="D2" s="81"/>
      <c r="E2" s="81"/>
      <c r="F2" s="27"/>
      <c r="G2" s="27"/>
      <c r="H2" s="27"/>
      <c r="I2" s="82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</row>
    <row r="3" spans="1:41" ht="32" customHeight="1" x14ac:dyDescent="0.2">
      <c r="A3" s="86" t="s">
        <v>59</v>
      </c>
      <c r="B3" s="86"/>
      <c r="C3" s="86"/>
      <c r="D3" s="9"/>
      <c r="E3" s="9"/>
      <c r="F3" s="10"/>
      <c r="G3" s="10"/>
      <c r="H3" s="10"/>
      <c r="I3" s="1"/>
    </row>
    <row r="4" spans="1:41" ht="28" x14ac:dyDescent="0.3">
      <c r="A4" s="84" t="s">
        <v>60</v>
      </c>
      <c r="B4" s="84"/>
      <c r="C4" s="84"/>
      <c r="D4" s="9"/>
      <c r="E4" s="9"/>
      <c r="F4" s="10"/>
      <c r="G4" s="10"/>
      <c r="H4" s="10"/>
      <c r="I4" s="1"/>
    </row>
    <row r="5" spans="1:41" x14ac:dyDescent="0.2">
      <c r="A5" s="9"/>
      <c r="B5" s="9"/>
      <c r="C5" s="9"/>
      <c r="D5" s="9"/>
      <c r="E5" s="9"/>
      <c r="F5" s="10"/>
      <c r="G5" s="10"/>
      <c r="H5" s="10"/>
      <c r="I5" s="1"/>
    </row>
    <row r="6" spans="1:41" x14ac:dyDescent="0.2">
      <c r="A6" s="9"/>
      <c r="B6" s="9"/>
      <c r="C6" s="9"/>
      <c r="D6" s="9"/>
      <c r="E6" s="9"/>
      <c r="F6" s="10"/>
      <c r="G6" s="10"/>
      <c r="H6" s="10"/>
      <c r="I6" s="1"/>
    </row>
    <row r="7" spans="1:41" x14ac:dyDescent="0.2">
      <c r="A7" s="9"/>
      <c r="B7" s="9"/>
      <c r="C7" s="9"/>
      <c r="D7" s="9"/>
      <c r="E7" s="9"/>
      <c r="F7" s="10"/>
      <c r="G7" s="10"/>
      <c r="H7" s="10"/>
      <c r="I7" s="1"/>
    </row>
    <row r="8" spans="1:41" x14ac:dyDescent="0.2">
      <c r="A8" s="9"/>
      <c r="B8" s="9"/>
      <c r="C8" s="9"/>
      <c r="D8" s="9"/>
      <c r="E8" s="9"/>
      <c r="F8" s="9"/>
      <c r="G8" s="9"/>
      <c r="H8" s="9"/>
    </row>
    <row r="9" spans="1:41" ht="28" x14ac:dyDescent="0.3">
      <c r="A9" s="87" t="s">
        <v>58</v>
      </c>
      <c r="B9" s="87"/>
      <c r="C9" s="87"/>
      <c r="D9" s="10"/>
      <c r="E9" s="10"/>
      <c r="F9" s="10"/>
      <c r="G9" s="10"/>
      <c r="H9" s="10"/>
      <c r="I9" s="1"/>
    </row>
    <row r="10" spans="1:41" ht="20" x14ac:dyDescent="0.2">
      <c r="A10" s="11"/>
      <c r="B10" s="10"/>
      <c r="C10" s="10"/>
      <c r="D10" s="10"/>
      <c r="E10" s="10"/>
      <c r="F10" s="10"/>
      <c r="G10" s="10"/>
      <c r="H10" s="10"/>
      <c r="I10" s="1"/>
    </row>
    <row r="11" spans="1:41" x14ac:dyDescent="0.2">
      <c r="A11" s="10"/>
      <c r="B11" s="10"/>
      <c r="C11" s="10"/>
      <c r="D11" s="10"/>
      <c r="E11" s="10"/>
      <c r="F11" s="10"/>
      <c r="G11" s="10"/>
      <c r="H11" s="10"/>
      <c r="I11" s="1"/>
    </row>
    <row r="12" spans="1:41" ht="20" x14ac:dyDescent="0.2">
      <c r="A12" s="12" t="s">
        <v>61</v>
      </c>
      <c r="B12" s="13"/>
      <c r="C12" s="13"/>
      <c r="D12" s="14"/>
      <c r="E12" s="15" t="s">
        <v>62</v>
      </c>
      <c r="F12" s="10"/>
      <c r="G12" s="10"/>
      <c r="H12" s="10"/>
      <c r="I12" s="1"/>
    </row>
    <row r="13" spans="1:41" x14ac:dyDescent="0.2">
      <c r="A13" s="16"/>
      <c r="B13" s="16"/>
      <c r="C13" s="16"/>
      <c r="D13" s="17"/>
      <c r="E13" s="10"/>
      <c r="F13" s="10"/>
      <c r="G13" s="10"/>
      <c r="H13" s="10"/>
      <c r="I13" s="1"/>
    </row>
    <row r="14" spans="1:41" x14ac:dyDescent="0.2">
      <c r="A14" s="10"/>
      <c r="B14" s="10"/>
      <c r="C14" s="10"/>
      <c r="D14" s="17"/>
      <c r="E14" s="10"/>
      <c r="F14" s="10"/>
      <c r="G14" s="10"/>
      <c r="H14" s="10"/>
      <c r="I14" s="1"/>
    </row>
    <row r="15" spans="1:41" ht="16" x14ac:dyDescent="0.2">
      <c r="A15" s="18" t="s">
        <v>25</v>
      </c>
      <c r="B15" s="10"/>
      <c r="C15" s="10"/>
      <c r="D15" s="17"/>
      <c r="E15" s="19" t="s">
        <v>52</v>
      </c>
      <c r="F15" s="10"/>
      <c r="G15" s="10"/>
      <c r="H15" s="10"/>
      <c r="I15" s="1"/>
    </row>
    <row r="16" spans="1:41" x14ac:dyDescent="0.2">
      <c r="A16" s="20" t="s">
        <v>0</v>
      </c>
      <c r="B16" s="10"/>
      <c r="C16" s="21">
        <v>1500</v>
      </c>
      <c r="D16" s="17"/>
      <c r="E16" s="10"/>
      <c r="F16" s="22"/>
      <c r="G16" s="22"/>
      <c r="H16" s="22"/>
      <c r="I16" s="1"/>
    </row>
    <row r="17" spans="1:9" x14ac:dyDescent="0.2">
      <c r="A17" s="20" t="s">
        <v>20</v>
      </c>
      <c r="B17" s="10"/>
      <c r="C17" s="23">
        <v>0.02</v>
      </c>
      <c r="D17" s="17"/>
      <c r="E17" s="24" t="s">
        <v>23</v>
      </c>
      <c r="F17" s="25" t="s">
        <v>27</v>
      </c>
      <c r="G17" s="25"/>
      <c r="H17" s="25" t="s">
        <v>28</v>
      </c>
      <c r="I17" s="1"/>
    </row>
    <row r="18" spans="1:9" ht="16" x14ac:dyDescent="0.2">
      <c r="A18" s="20" t="s">
        <v>1</v>
      </c>
      <c r="B18" s="10"/>
      <c r="C18" s="26">
        <v>0.2</v>
      </c>
      <c r="D18" s="17"/>
      <c r="E18" s="27" t="s">
        <v>63</v>
      </c>
      <c r="F18" s="28">
        <f>(B56/B57*B58-B59*B60)/(1-B59)</f>
        <v>0.85</v>
      </c>
      <c r="G18" s="28"/>
      <c r="H18" s="28">
        <f>(C56/C57*C58-C59*C60)/(1-C59)</f>
        <v>0.37888888888888889</v>
      </c>
      <c r="I18" s="1"/>
    </row>
    <row r="19" spans="1:9" ht="16" x14ac:dyDescent="0.2">
      <c r="A19" s="10"/>
      <c r="B19" s="10"/>
      <c r="C19" s="29"/>
      <c r="D19" s="17"/>
      <c r="E19" s="27" t="s">
        <v>64</v>
      </c>
      <c r="F19" s="28">
        <f>(B56/B57*B58-B59*B61)/(1-B59)</f>
        <v>0.85</v>
      </c>
      <c r="G19" s="28"/>
      <c r="H19" s="28">
        <f>(C56/C57*C58-C59*C61)/(1-C59)</f>
        <v>0.33848842463963141</v>
      </c>
      <c r="I19" s="1"/>
    </row>
    <row r="20" spans="1:9" x14ac:dyDescent="0.2">
      <c r="A20" s="18" t="s">
        <v>24</v>
      </c>
      <c r="B20" s="10"/>
      <c r="C20" s="26"/>
      <c r="D20" s="17"/>
      <c r="E20" s="27" t="s">
        <v>45</v>
      </c>
      <c r="F20" s="30">
        <f>B56/B57</f>
        <v>0.92391304347826086</v>
      </c>
      <c r="G20" s="30"/>
      <c r="H20" s="30">
        <f>C56/C57</f>
        <v>0.92391304347826086</v>
      </c>
      <c r="I20" s="1"/>
    </row>
    <row r="21" spans="1:9" x14ac:dyDescent="0.2">
      <c r="A21" s="20" t="s">
        <v>3</v>
      </c>
      <c r="B21" s="10"/>
      <c r="C21" s="26">
        <v>8.5000000000000006E-2</v>
      </c>
      <c r="D21" s="17"/>
      <c r="E21" s="27" t="s">
        <v>46</v>
      </c>
      <c r="F21" s="31">
        <f>-B59+1</f>
        <v>0.13043478260869568</v>
      </c>
      <c r="G21" s="27"/>
      <c r="H21" s="31">
        <f>-C59+1</f>
        <v>0.39130434782608703</v>
      </c>
      <c r="I21" s="1"/>
    </row>
    <row r="22" spans="1:9" x14ac:dyDescent="0.2">
      <c r="A22" s="20" t="s">
        <v>2</v>
      </c>
      <c r="B22" s="10"/>
      <c r="C22" s="26">
        <v>0.08</v>
      </c>
      <c r="D22" s="17"/>
      <c r="E22" s="10"/>
      <c r="F22" s="10"/>
      <c r="G22" s="10"/>
      <c r="H22" s="10"/>
      <c r="I22" s="1"/>
    </row>
    <row r="23" spans="1:9" x14ac:dyDescent="0.2">
      <c r="A23" s="20" t="s">
        <v>29</v>
      </c>
      <c r="B23" s="10"/>
      <c r="C23" s="23">
        <v>1.4999999999999999E-2</v>
      </c>
      <c r="D23" s="17"/>
      <c r="E23" s="27" t="s">
        <v>18</v>
      </c>
      <c r="F23" s="31">
        <f>B59-C59</f>
        <v>0.26086956521739135</v>
      </c>
      <c r="G23" s="32" t="s">
        <v>51</v>
      </c>
      <c r="H23" s="33">
        <f>F23*C57</f>
        <v>423.52941176470597</v>
      </c>
      <c r="I23" s="1"/>
    </row>
    <row r="24" spans="1:9" x14ac:dyDescent="0.2">
      <c r="A24" s="20"/>
      <c r="B24" s="10"/>
      <c r="C24" s="23"/>
      <c r="D24" s="17"/>
      <c r="E24" s="27" t="s">
        <v>50</v>
      </c>
      <c r="F24" s="34">
        <f>F18/H18</f>
        <v>2.2434017595307916</v>
      </c>
      <c r="G24" s="34"/>
      <c r="H24" s="33"/>
      <c r="I24" s="1"/>
    </row>
    <row r="25" spans="1:9" x14ac:dyDescent="0.2">
      <c r="A25" s="18" t="s">
        <v>7</v>
      </c>
      <c r="B25" s="10"/>
      <c r="C25" s="29"/>
      <c r="D25" s="17"/>
      <c r="E25" s="10"/>
      <c r="F25" s="10"/>
      <c r="G25" s="10"/>
      <c r="H25" s="10"/>
      <c r="I25" s="1"/>
    </row>
    <row r="26" spans="1:9" ht="16" x14ac:dyDescent="0.2">
      <c r="A26" s="35" t="s">
        <v>6</v>
      </c>
      <c r="B26" s="10"/>
      <c r="C26" s="36">
        <v>0.7</v>
      </c>
      <c r="D26" s="17"/>
      <c r="E26" s="37" t="s">
        <v>53</v>
      </c>
      <c r="F26" s="10"/>
      <c r="G26" s="10"/>
      <c r="H26" s="10"/>
      <c r="I26" s="1"/>
    </row>
    <row r="27" spans="1:9" x14ac:dyDescent="0.2">
      <c r="A27" s="20" t="s">
        <v>9</v>
      </c>
      <c r="B27" s="10"/>
      <c r="C27" s="26">
        <v>0.06</v>
      </c>
      <c r="D27" s="17"/>
      <c r="E27" s="10"/>
      <c r="F27" s="22"/>
      <c r="G27" s="22"/>
      <c r="H27" s="22"/>
      <c r="I27" s="1"/>
    </row>
    <row r="28" spans="1:9" x14ac:dyDescent="0.2">
      <c r="A28" s="20" t="s">
        <v>8</v>
      </c>
      <c r="B28" s="10"/>
      <c r="C28" s="38">
        <v>20</v>
      </c>
      <c r="D28" s="17"/>
      <c r="E28" s="24" t="s">
        <v>23</v>
      </c>
      <c r="F28" s="25" t="s">
        <v>27</v>
      </c>
      <c r="G28" s="25"/>
      <c r="H28" s="25" t="s">
        <v>28</v>
      </c>
      <c r="I28" s="1"/>
    </row>
    <row r="29" spans="1:9" ht="16" x14ac:dyDescent="0.2">
      <c r="A29" s="10"/>
      <c r="B29" s="10"/>
      <c r="C29" s="29"/>
      <c r="D29" s="17"/>
      <c r="E29" s="27" t="s">
        <v>63</v>
      </c>
      <c r="F29" s="28">
        <f>(F56/F57*F58-F59*F60)/(1-F59)</f>
        <v>0.93200621464583366</v>
      </c>
      <c r="G29" s="28"/>
      <c r="H29" s="28">
        <f>(H56/H57*H58-H59*H60)/(1-H59)</f>
        <v>0.34975349926160898</v>
      </c>
      <c r="I29" s="1"/>
    </row>
    <row r="30" spans="1:9" ht="16" x14ac:dyDescent="0.2">
      <c r="A30" s="18" t="s">
        <v>47</v>
      </c>
      <c r="B30" s="10"/>
      <c r="C30" s="29"/>
      <c r="D30" s="17"/>
      <c r="E30" s="27" t="s">
        <v>64</v>
      </c>
      <c r="F30" s="28">
        <f>(F56/F57*F58-F59*F61)/(1-F59)</f>
        <v>0.93200621464583366</v>
      </c>
      <c r="G30" s="28"/>
      <c r="H30" s="28">
        <f>(H56/H57*H58-H59*H61)/(1-H59)</f>
        <v>0.30562491634869626</v>
      </c>
      <c r="I30" s="1"/>
    </row>
    <row r="31" spans="1:9" x14ac:dyDescent="0.2">
      <c r="A31" s="35" t="s">
        <v>31</v>
      </c>
      <c r="B31" s="10"/>
      <c r="C31" s="39">
        <v>0.15</v>
      </c>
      <c r="D31" s="17"/>
      <c r="E31" s="10"/>
      <c r="F31" s="10"/>
      <c r="G31" s="10"/>
      <c r="H31" s="10"/>
      <c r="I31" s="1"/>
    </row>
    <row r="32" spans="1:9" x14ac:dyDescent="0.2">
      <c r="A32" s="20"/>
      <c r="B32" s="10"/>
      <c r="C32" s="40"/>
      <c r="D32" s="17"/>
      <c r="E32" s="27" t="s">
        <v>18</v>
      </c>
      <c r="F32" s="31">
        <f>F59-H59</f>
        <v>0.3527850529331521</v>
      </c>
      <c r="G32" s="32" t="s">
        <v>30</v>
      </c>
      <c r="H32" s="33">
        <f>F32*H57</f>
        <v>572.756909467941</v>
      </c>
      <c r="I32" s="1"/>
    </row>
    <row r="33" spans="1:9" x14ac:dyDescent="0.2">
      <c r="A33" s="10"/>
      <c r="B33" s="10"/>
      <c r="C33" s="41"/>
      <c r="D33" s="17"/>
      <c r="E33" s="27" t="s">
        <v>42</v>
      </c>
      <c r="F33" s="34">
        <f>F29/H29</f>
        <v>2.6647516511299023</v>
      </c>
      <c r="G33" s="34"/>
      <c r="H33" s="33"/>
      <c r="I33" s="1"/>
    </row>
    <row r="34" spans="1:9" ht="16" x14ac:dyDescent="0.2">
      <c r="A34" s="42" t="s">
        <v>65</v>
      </c>
      <c r="B34" s="10"/>
      <c r="C34" s="10"/>
      <c r="D34" s="17"/>
      <c r="E34" s="10"/>
      <c r="F34" s="10"/>
      <c r="G34" s="10"/>
      <c r="H34" s="10"/>
      <c r="I34" s="1"/>
    </row>
    <row r="35" spans="1:9" ht="16" x14ac:dyDescent="0.2">
      <c r="A35" s="42" t="s">
        <v>66</v>
      </c>
      <c r="B35" s="10"/>
      <c r="C35" s="10"/>
      <c r="D35" s="10"/>
      <c r="E35" s="27" t="s">
        <v>44</v>
      </c>
      <c r="F35" s="27"/>
      <c r="G35" s="27"/>
      <c r="H35" s="33">
        <f>H44*5</f>
        <v>1693.222519111612</v>
      </c>
      <c r="I35" s="1"/>
    </row>
    <row r="36" spans="1:9" x14ac:dyDescent="0.2">
      <c r="A36" s="10"/>
      <c r="B36" s="10"/>
      <c r="C36" s="10"/>
      <c r="D36" s="10"/>
      <c r="E36" s="10"/>
      <c r="F36" s="10"/>
      <c r="G36" s="10"/>
      <c r="H36" s="10"/>
      <c r="I36" s="1"/>
    </row>
    <row r="37" spans="1:9" x14ac:dyDescent="0.2">
      <c r="A37" s="10"/>
      <c r="B37" s="10"/>
      <c r="C37" s="10"/>
      <c r="D37" s="10"/>
      <c r="E37" s="10"/>
      <c r="F37" s="10"/>
      <c r="G37" s="10"/>
      <c r="H37" s="10"/>
      <c r="I37" s="1"/>
    </row>
    <row r="38" spans="1:9" x14ac:dyDescent="0.2">
      <c r="A38" s="10"/>
      <c r="B38" s="43"/>
      <c r="C38" s="44"/>
      <c r="D38" s="44"/>
      <c r="E38" s="10"/>
      <c r="F38" s="10"/>
      <c r="G38" s="10"/>
      <c r="H38" s="10"/>
      <c r="I38" s="1"/>
    </row>
    <row r="39" spans="1:9" x14ac:dyDescent="0.2">
      <c r="A39" s="9"/>
      <c r="B39" s="9"/>
      <c r="C39" s="9"/>
      <c r="D39" s="45"/>
      <c r="E39" s="9"/>
      <c r="F39" s="9"/>
      <c r="G39" s="9"/>
      <c r="H39" s="9"/>
    </row>
    <row r="40" spans="1:9" ht="20" x14ac:dyDescent="0.2">
      <c r="A40" s="46" t="s">
        <v>26</v>
      </c>
      <c r="B40" s="9"/>
      <c r="C40" s="9"/>
      <c r="D40" s="45"/>
      <c r="E40" s="9"/>
      <c r="F40" s="9"/>
      <c r="G40" s="9"/>
      <c r="H40" s="9"/>
    </row>
    <row r="41" spans="1:9" x14ac:dyDescent="0.2">
      <c r="A41" s="9"/>
      <c r="B41" s="9"/>
      <c r="C41" s="9"/>
      <c r="D41" s="45"/>
      <c r="E41" s="47" t="s">
        <v>34</v>
      </c>
      <c r="F41" s="10"/>
      <c r="G41" s="9"/>
      <c r="H41" s="48">
        <f>(H32+H23)/2</f>
        <v>498.14316061632348</v>
      </c>
    </row>
    <row r="42" spans="1:9" ht="17" x14ac:dyDescent="0.3">
      <c r="A42" s="49" t="s">
        <v>4</v>
      </c>
      <c r="B42" s="50"/>
      <c r="C42" s="51">
        <f>(C16*C22)/C21</f>
        <v>1411.7647058823529</v>
      </c>
      <c r="D42" s="52"/>
      <c r="E42" s="47" t="s">
        <v>35</v>
      </c>
      <c r="F42" s="10"/>
      <c r="G42" s="53"/>
      <c r="H42" s="54">
        <f>H41/C43</f>
        <v>2.3523427029104167</v>
      </c>
    </row>
    <row r="43" spans="1:9" ht="17" x14ac:dyDescent="0.3">
      <c r="A43" s="55" t="s">
        <v>32</v>
      </c>
      <c r="B43" s="56"/>
      <c r="C43" s="57">
        <f>C42*C31</f>
        <v>211.76470588235293</v>
      </c>
      <c r="D43" s="52"/>
      <c r="E43" s="9" t="s">
        <v>43</v>
      </c>
      <c r="F43" s="9"/>
      <c r="G43" s="9"/>
      <c r="H43" s="48">
        <f>(INT(H42)+1)*((B62+F62)/2)</f>
        <v>566.04903288750006</v>
      </c>
    </row>
    <row r="44" spans="1:9" ht="17" x14ac:dyDescent="0.3">
      <c r="A44" s="10"/>
      <c r="B44" s="10"/>
      <c r="C44" s="53"/>
      <c r="D44" s="52"/>
      <c r="E44" s="9" t="s">
        <v>36</v>
      </c>
      <c r="F44" s="9"/>
      <c r="G44" s="9"/>
      <c r="H44" s="48">
        <f>H43-(C62+H62)/2</f>
        <v>338.64450382232241</v>
      </c>
    </row>
    <row r="45" spans="1:9" ht="17" x14ac:dyDescent="0.3">
      <c r="A45" s="9"/>
      <c r="B45" s="9"/>
      <c r="C45" s="9"/>
      <c r="D45" s="52"/>
      <c r="E45" s="9" t="s">
        <v>41</v>
      </c>
      <c r="F45" s="9"/>
      <c r="G45" s="9"/>
      <c r="H45" s="58">
        <f>H43/(H43-H44)</f>
        <v>2.4891722043287081</v>
      </c>
    </row>
    <row r="46" spans="1:9" x14ac:dyDescent="0.2">
      <c r="A46" s="9"/>
      <c r="B46" s="9"/>
      <c r="C46" s="9"/>
      <c r="D46" s="9"/>
      <c r="E46" s="9"/>
      <c r="F46" s="9"/>
      <c r="G46" s="9"/>
      <c r="H46" s="9"/>
      <c r="I46" s="2"/>
    </row>
    <row r="47" spans="1:9" ht="20" x14ac:dyDescent="0.2">
      <c r="A47" s="83" t="s">
        <v>54</v>
      </c>
      <c r="B47" s="83"/>
      <c r="C47" s="83"/>
      <c r="D47" s="9"/>
      <c r="E47" s="83" t="s">
        <v>55</v>
      </c>
      <c r="F47" s="83"/>
      <c r="G47" s="83"/>
      <c r="H47" s="83"/>
      <c r="I47" s="2"/>
    </row>
    <row r="48" spans="1:9" x14ac:dyDescent="0.2">
      <c r="A48" s="9"/>
      <c r="B48" s="9"/>
      <c r="C48" s="9"/>
      <c r="D48" s="9"/>
      <c r="E48" s="9"/>
      <c r="F48" s="9"/>
      <c r="G48" s="9"/>
      <c r="H48" s="9"/>
    </row>
    <row r="49" spans="1:16" x14ac:dyDescent="0.2">
      <c r="A49" s="59" t="s">
        <v>11</v>
      </c>
      <c r="B49" s="9"/>
      <c r="C49" s="9"/>
      <c r="D49" s="9"/>
      <c r="E49" s="59" t="s">
        <v>11</v>
      </c>
      <c r="F49" s="9"/>
      <c r="G49" s="9"/>
      <c r="H49" s="9"/>
    </row>
    <row r="50" spans="1:16" x14ac:dyDescent="0.2">
      <c r="A50" s="60"/>
      <c r="B50" s="61" t="s">
        <v>13</v>
      </c>
      <c r="C50" s="61" t="s">
        <v>14</v>
      </c>
      <c r="D50" s="9"/>
      <c r="E50" s="60"/>
      <c r="F50" s="61" t="s">
        <v>13</v>
      </c>
      <c r="G50" s="61"/>
      <c r="H50" s="61" t="s">
        <v>14</v>
      </c>
    </row>
    <row r="51" spans="1:16" x14ac:dyDescent="0.2">
      <c r="A51" s="62" t="s">
        <v>5</v>
      </c>
      <c r="B51" s="63">
        <f>C42</f>
        <v>1411.7647058823529</v>
      </c>
      <c r="C51" s="63">
        <f>C42*C26</f>
        <v>988.23529411764696</v>
      </c>
      <c r="D51" s="9"/>
      <c r="E51" s="62" t="s">
        <v>19</v>
      </c>
      <c r="F51" s="63">
        <f>B51</f>
        <v>1411.7647058823529</v>
      </c>
      <c r="G51" s="63"/>
      <c r="H51" s="63">
        <f>C51+CUMPRINC(C27/12,C28*12,C51,1,60,0)</f>
        <v>839.00779641441181</v>
      </c>
      <c r="P51" s="7"/>
    </row>
    <row r="52" spans="1:16" x14ac:dyDescent="0.2">
      <c r="A52" s="62" t="s">
        <v>22</v>
      </c>
      <c r="B52" s="64"/>
      <c r="C52" s="63">
        <f>PMT(C27/12,C28*12,C51)*-12</f>
        <v>84.960294934822358</v>
      </c>
      <c r="D52" s="9"/>
      <c r="E52" s="62" t="s">
        <v>21</v>
      </c>
      <c r="F52" s="65">
        <f>C21*(1+C23)^4</f>
        <v>9.0215901803124957E-2</v>
      </c>
      <c r="G52" s="65"/>
      <c r="H52" s="66">
        <f>C52/H51</f>
        <v>0.10126281936581415</v>
      </c>
    </row>
    <row r="53" spans="1:16" x14ac:dyDescent="0.2">
      <c r="A53" s="62" t="s">
        <v>10</v>
      </c>
      <c r="B53" s="66">
        <f>C21</f>
        <v>8.5000000000000006E-2</v>
      </c>
      <c r="C53" s="66">
        <f>C52/C51</f>
        <v>8.5971727017379776E-2</v>
      </c>
      <c r="D53" s="9"/>
      <c r="E53" s="9"/>
      <c r="F53" s="9"/>
      <c r="G53" s="9"/>
      <c r="H53" s="9"/>
    </row>
    <row r="54" spans="1:16" x14ac:dyDescent="0.2">
      <c r="A54" s="62" t="s">
        <v>12</v>
      </c>
      <c r="B54" s="67"/>
      <c r="C54" s="63">
        <f>-CUMIPMT(C27/12,C28*12,C51,1,12,0)</f>
        <v>58.576400700896158</v>
      </c>
      <c r="D54" s="9"/>
      <c r="E54" s="9"/>
      <c r="F54" s="9"/>
      <c r="G54" s="9"/>
      <c r="H54" s="9"/>
    </row>
    <row r="55" spans="1:16" x14ac:dyDescent="0.2">
      <c r="A55" s="9"/>
      <c r="B55" s="9"/>
      <c r="C55" s="9"/>
      <c r="D55" s="9"/>
      <c r="E55" s="9"/>
      <c r="F55" s="9"/>
      <c r="G55" s="9"/>
      <c r="H55" s="9"/>
    </row>
    <row r="56" spans="1:16" x14ac:dyDescent="0.2">
      <c r="A56" s="62" t="s">
        <v>0</v>
      </c>
      <c r="B56" s="63">
        <f>C16</f>
        <v>1500</v>
      </c>
      <c r="C56" s="63">
        <f>B56</f>
        <v>1500</v>
      </c>
      <c r="D56" s="9"/>
      <c r="E56" s="62" t="s">
        <v>0</v>
      </c>
      <c r="F56" s="63">
        <f>B56*(1+C17)^4</f>
        <v>1623.64824</v>
      </c>
      <c r="G56" s="63"/>
      <c r="H56" s="48">
        <f>F56</f>
        <v>1623.64824</v>
      </c>
    </row>
    <row r="57" spans="1:16" x14ac:dyDescent="0.2">
      <c r="A57" s="62" t="s">
        <v>15</v>
      </c>
      <c r="B57" s="67">
        <f>C42+C43</f>
        <v>1623.5294117647059</v>
      </c>
      <c r="C57" s="63">
        <f>B57</f>
        <v>1623.5294117647059</v>
      </c>
      <c r="D57" s="9"/>
      <c r="E57" s="62" t="s">
        <v>15</v>
      </c>
      <c r="F57" s="63">
        <f>B57</f>
        <v>1623.5294117647059</v>
      </c>
      <c r="G57" s="63"/>
      <c r="H57" s="48">
        <f>F57</f>
        <v>1623.5294117647059</v>
      </c>
    </row>
    <row r="58" spans="1:16" x14ac:dyDescent="0.2">
      <c r="A58" s="62" t="s">
        <v>16</v>
      </c>
      <c r="B58" s="66">
        <f>C18</f>
        <v>0.2</v>
      </c>
      <c r="C58" s="68">
        <f>B58</f>
        <v>0.2</v>
      </c>
      <c r="D58" s="9"/>
      <c r="E58" s="62" t="s">
        <v>16</v>
      </c>
      <c r="F58" s="66">
        <f>B58</f>
        <v>0.2</v>
      </c>
      <c r="G58" s="66"/>
      <c r="H58" s="69">
        <f>F58</f>
        <v>0.2</v>
      </c>
    </row>
    <row r="59" spans="1:16" x14ac:dyDescent="0.2">
      <c r="A59" s="70" t="s">
        <v>17</v>
      </c>
      <c r="B59" s="65">
        <f>B51/B57</f>
        <v>0.86956521739130432</v>
      </c>
      <c r="C59" s="65">
        <f>C51/C57</f>
        <v>0.60869565217391297</v>
      </c>
      <c r="D59" s="9"/>
      <c r="E59" s="70" t="s">
        <v>17</v>
      </c>
      <c r="F59" s="65">
        <f>F51/F57</f>
        <v>0.86956521739130432</v>
      </c>
      <c r="G59" s="65"/>
      <c r="H59" s="65">
        <f>H51/H57</f>
        <v>0.51678016445815222</v>
      </c>
    </row>
    <row r="60" spans="1:16" x14ac:dyDescent="0.2">
      <c r="A60" s="71" t="s">
        <v>9</v>
      </c>
      <c r="B60" s="65">
        <f>C21</f>
        <v>8.5000000000000006E-2</v>
      </c>
      <c r="C60" s="65">
        <f>C27</f>
        <v>0.06</v>
      </c>
      <c r="D60" s="9"/>
      <c r="E60" s="71" t="s">
        <v>9</v>
      </c>
      <c r="F60" s="65">
        <f>F52</f>
        <v>9.0215901803124957E-2</v>
      </c>
      <c r="G60" s="65"/>
      <c r="H60" s="65">
        <f>C27</f>
        <v>0.06</v>
      </c>
    </row>
    <row r="61" spans="1:16" x14ac:dyDescent="0.2">
      <c r="A61" s="71" t="s">
        <v>10</v>
      </c>
      <c r="B61" s="65">
        <f>B53</f>
        <v>8.5000000000000006E-2</v>
      </c>
      <c r="C61" s="65">
        <f>C53</f>
        <v>8.5971727017379776E-2</v>
      </c>
      <c r="D61" s="9"/>
      <c r="E61" s="71" t="s">
        <v>10</v>
      </c>
      <c r="F61" s="65">
        <f>F52</f>
        <v>9.0215901803124957E-2</v>
      </c>
      <c r="G61" s="65"/>
      <c r="H61" s="65">
        <f>H52</f>
        <v>0.10126281936581415</v>
      </c>
    </row>
    <row r="62" spans="1:16" x14ac:dyDescent="0.2">
      <c r="A62" s="9" t="s">
        <v>33</v>
      </c>
      <c r="B62" s="48">
        <f>B56*B58-B51*B53</f>
        <v>180</v>
      </c>
      <c r="C62" s="48">
        <f>C56*C58-C52</f>
        <v>215.03970506517766</v>
      </c>
      <c r="D62" s="9"/>
      <c r="E62" s="9"/>
      <c r="F62" s="48">
        <f>F56*F58-F51*F52</f>
        <v>197.36602192500004</v>
      </c>
      <c r="G62" s="9"/>
      <c r="H62" s="48">
        <f>H56*H58-C52</f>
        <v>239.76935306517765</v>
      </c>
    </row>
    <row r="63" spans="1:16" x14ac:dyDescent="0.2">
      <c r="A63" s="9" t="s">
        <v>39</v>
      </c>
      <c r="B63" s="58">
        <f>F18/C81</f>
        <v>6.5806451612903221</v>
      </c>
      <c r="C63" s="62"/>
      <c r="D63" s="9"/>
      <c r="E63" s="9"/>
      <c r="F63" s="58">
        <f>F29/F81</f>
        <v>7.5552073169357161</v>
      </c>
      <c r="G63" s="9"/>
      <c r="H63" s="62"/>
    </row>
    <row r="64" spans="1:16" x14ac:dyDescent="0.2">
      <c r="A64" s="9" t="s">
        <v>40</v>
      </c>
      <c r="B64" s="58">
        <f>F19/C82</f>
        <v>12.396820118937317</v>
      </c>
      <c r="C64" s="48"/>
      <c r="D64" s="9"/>
      <c r="E64" s="9"/>
      <c r="F64" s="58">
        <f>F30/F82</f>
        <v>14.813675023652491</v>
      </c>
      <c r="G64" s="9"/>
      <c r="H64" s="48"/>
    </row>
    <row r="65" spans="1:11" x14ac:dyDescent="0.2">
      <c r="A65" s="9"/>
      <c r="B65" s="58"/>
      <c r="C65" s="48">
        <f>(B62+F62)/2*5</f>
        <v>943.4150548125001</v>
      </c>
      <c r="D65" s="9"/>
      <c r="E65" s="9"/>
      <c r="F65" s="72">
        <f>(F62/0.2-B66)*2</f>
        <v>1550.1308074852946</v>
      </c>
      <c r="G65" s="9"/>
      <c r="H65" s="48"/>
    </row>
    <row r="66" spans="1:11" x14ac:dyDescent="0.2">
      <c r="A66" s="9" t="s">
        <v>49</v>
      </c>
      <c r="B66" s="72">
        <f>B57*(1-B59)</f>
        <v>211.76470588235298</v>
      </c>
      <c r="C66" s="72">
        <f>C57*(1-C59)</f>
        <v>635.2941176470589</v>
      </c>
      <c r="D66" s="9"/>
      <c r="E66" s="9" t="s">
        <v>49</v>
      </c>
      <c r="F66" s="72">
        <f>F57*(1-F59)</f>
        <v>211.76470588235298</v>
      </c>
      <c r="G66" s="72"/>
      <c r="H66" s="72">
        <f>H57*(1-H59)</f>
        <v>784.52161535029404</v>
      </c>
    </row>
    <row r="67" spans="1:11" x14ac:dyDescent="0.2">
      <c r="A67" s="9"/>
      <c r="B67" s="72"/>
      <c r="C67" s="73">
        <f>C66/B66</f>
        <v>2.9999999999999996</v>
      </c>
      <c r="D67" s="9"/>
      <c r="E67" s="9"/>
      <c r="F67" s="72"/>
      <c r="G67" s="72"/>
      <c r="H67" s="73">
        <f>H66/F66</f>
        <v>3.7046854058208321</v>
      </c>
    </row>
    <row r="68" spans="1:11" x14ac:dyDescent="0.2">
      <c r="A68" s="9" t="s">
        <v>48</v>
      </c>
      <c r="B68" s="58">
        <f>(B62+B51*B60)/(B51*B60)</f>
        <v>2.4999999999999996</v>
      </c>
      <c r="C68" s="58">
        <f>(C62+C51*C61)/(C51*C61)</f>
        <v>3.5310611884074348</v>
      </c>
      <c r="D68" s="9"/>
      <c r="E68" s="9" t="s">
        <v>48</v>
      </c>
      <c r="F68" s="58">
        <f>(F62+F51*F60)/(F51*F60)</f>
        <v>2.5496262787679913</v>
      </c>
      <c r="G68" s="9"/>
      <c r="H68" s="58">
        <f>(H62+H51*H61)/(H51*H61)</f>
        <v>3.8221341892600265</v>
      </c>
    </row>
    <row r="69" spans="1:11" x14ac:dyDescent="0.2">
      <c r="A69" s="9"/>
      <c r="B69" s="48"/>
      <c r="C69" s="74"/>
      <c r="D69" s="9"/>
      <c r="E69" s="9"/>
      <c r="F69" s="75"/>
      <c r="G69" s="9"/>
      <c r="H69" s="9"/>
      <c r="K69" s="8"/>
    </row>
    <row r="70" spans="1:11" ht="20" x14ac:dyDescent="0.2">
      <c r="A70" s="83" t="s">
        <v>56</v>
      </c>
      <c r="B70" s="83"/>
      <c r="C70" s="83"/>
      <c r="D70" s="9"/>
      <c r="E70" s="83" t="s">
        <v>57</v>
      </c>
      <c r="F70" s="83"/>
      <c r="G70" s="83"/>
      <c r="H70" s="83"/>
      <c r="K70" s="8"/>
    </row>
    <row r="71" spans="1:11" x14ac:dyDescent="0.2">
      <c r="A71" s="9"/>
      <c r="B71" s="9"/>
      <c r="C71" s="9"/>
      <c r="D71" s="9"/>
      <c r="E71" s="9"/>
      <c r="F71" s="9"/>
      <c r="G71" s="9"/>
      <c r="H71" s="9"/>
      <c r="K71" s="8"/>
    </row>
    <row r="72" spans="1:11" x14ac:dyDescent="0.2">
      <c r="A72" s="9"/>
      <c r="B72" s="9"/>
      <c r="C72" s="48"/>
      <c r="D72" s="9"/>
      <c r="E72" s="9"/>
      <c r="F72" s="9"/>
      <c r="G72" s="9"/>
      <c r="H72" s="9"/>
      <c r="K72" s="5"/>
    </row>
    <row r="73" spans="1:11" x14ac:dyDescent="0.2">
      <c r="A73" s="9"/>
      <c r="B73" s="9"/>
      <c r="C73" s="9"/>
      <c r="D73" s="9"/>
      <c r="E73" s="9"/>
      <c r="F73" s="9"/>
      <c r="G73" s="9"/>
      <c r="H73" s="9"/>
    </row>
    <row r="74" spans="1:11" x14ac:dyDescent="0.2">
      <c r="A74" s="62" t="s">
        <v>0</v>
      </c>
      <c r="B74" s="9"/>
      <c r="C74" s="48">
        <f>C42*B53</f>
        <v>120.00000000000001</v>
      </c>
      <c r="D74" s="9"/>
      <c r="E74" s="9"/>
      <c r="F74" s="48">
        <f>F51*F61</f>
        <v>127.36362607499994</v>
      </c>
      <c r="G74" s="9"/>
      <c r="H74" s="9"/>
    </row>
    <row r="75" spans="1:11" x14ac:dyDescent="0.2">
      <c r="A75" s="62" t="s">
        <v>15</v>
      </c>
      <c r="B75" s="9"/>
      <c r="C75" s="48">
        <f>C42</f>
        <v>1411.7647058823529</v>
      </c>
      <c r="D75" s="9"/>
      <c r="E75" s="9"/>
      <c r="F75" s="48">
        <f>F51</f>
        <v>1411.7647058823529</v>
      </c>
      <c r="G75" s="9"/>
      <c r="H75" s="9"/>
    </row>
    <row r="76" spans="1:11" x14ac:dyDescent="0.2">
      <c r="A76" s="76" t="s">
        <v>67</v>
      </c>
      <c r="B76" s="9"/>
      <c r="C76" s="77">
        <v>0.95</v>
      </c>
      <c r="D76" s="9"/>
      <c r="E76" s="75"/>
      <c r="F76" s="78">
        <f>C76</f>
        <v>0.95</v>
      </c>
      <c r="G76" s="9"/>
      <c r="H76" s="9"/>
    </row>
    <row r="77" spans="1:11" x14ac:dyDescent="0.2">
      <c r="A77" s="70" t="s">
        <v>17</v>
      </c>
      <c r="B77" s="9"/>
      <c r="C77" s="69">
        <f>C26</f>
        <v>0.7</v>
      </c>
      <c r="D77" s="9"/>
      <c r="E77" s="9"/>
      <c r="F77" s="65">
        <f>H51/C42</f>
        <v>0.59429718912687501</v>
      </c>
      <c r="G77" s="9"/>
      <c r="H77" s="9"/>
    </row>
    <row r="78" spans="1:11" x14ac:dyDescent="0.2">
      <c r="A78" s="71" t="s">
        <v>9</v>
      </c>
      <c r="B78" s="9"/>
      <c r="C78" s="69">
        <f>C27</f>
        <v>0.06</v>
      </c>
      <c r="D78" s="9"/>
      <c r="E78" s="9"/>
      <c r="F78" s="69">
        <f>C78</f>
        <v>0.06</v>
      </c>
      <c r="G78" s="9"/>
      <c r="H78" s="9"/>
    </row>
    <row r="79" spans="1:11" x14ac:dyDescent="0.2">
      <c r="A79" s="71" t="s">
        <v>10</v>
      </c>
      <c r="B79" s="9"/>
      <c r="C79" s="69">
        <f>C53</f>
        <v>8.5971727017379776E-2</v>
      </c>
      <c r="D79" s="9"/>
      <c r="E79" s="9"/>
      <c r="F79" s="69">
        <f>H52</f>
        <v>0.10126281936581415</v>
      </c>
      <c r="G79" s="9"/>
      <c r="H79" s="9"/>
    </row>
    <row r="80" spans="1:11" x14ac:dyDescent="0.2">
      <c r="A80" s="9"/>
      <c r="B80" s="9"/>
      <c r="C80" s="48"/>
      <c r="D80" s="9"/>
      <c r="E80" s="9"/>
      <c r="F80" s="9"/>
      <c r="G80" s="9"/>
      <c r="H80" s="9"/>
    </row>
    <row r="81" spans="1:8" x14ac:dyDescent="0.2">
      <c r="A81" s="9" t="s">
        <v>37</v>
      </c>
      <c r="B81" s="9"/>
      <c r="C81" s="65">
        <f>(C74/C75*C76-C77*C78)/(1-C77)</f>
        <v>0.12916666666666668</v>
      </c>
      <c r="D81" s="79"/>
      <c r="E81" s="9"/>
      <c r="F81" s="65">
        <f>(F74/F75*F76-F77*F78)/(1-F77)</f>
        <v>0.12335944939017796</v>
      </c>
      <c r="G81" s="9"/>
      <c r="H81" s="9"/>
    </row>
    <row r="82" spans="1:8" x14ac:dyDescent="0.2">
      <c r="A82" s="9" t="s">
        <v>38</v>
      </c>
      <c r="B82" s="9"/>
      <c r="C82" s="65">
        <f>(C74/C75*C76-C77*C79)/(1-C77)</f>
        <v>6.8565970292780526E-2</v>
      </c>
      <c r="D82" s="9"/>
      <c r="E82" s="9"/>
      <c r="F82" s="65">
        <f>(F74/F75*F76-F77*F79)/(1-F77)</f>
        <v>6.2915259930957784E-2</v>
      </c>
      <c r="G82" s="9"/>
      <c r="H82" s="9"/>
    </row>
    <row r="86" spans="1:8" x14ac:dyDescent="0.2">
      <c r="E86" s="6"/>
    </row>
    <row r="88" spans="1:8" x14ac:dyDescent="0.2">
      <c r="E88" s="6"/>
      <c r="F88" s="3"/>
      <c r="G88" s="3"/>
    </row>
    <row r="89" spans="1:8" x14ac:dyDescent="0.2">
      <c r="E89" s="6"/>
    </row>
    <row r="90" spans="1:8" x14ac:dyDescent="0.2">
      <c r="E90" s="6"/>
      <c r="F90" s="3"/>
      <c r="G90" s="3"/>
    </row>
    <row r="98" spans="6:7" x14ac:dyDescent="0.2">
      <c r="F98" s="4"/>
      <c r="G98" s="4"/>
    </row>
    <row r="99" spans="6:7" x14ac:dyDescent="0.2">
      <c r="F99" s="4"/>
      <c r="G99" s="4"/>
    </row>
    <row r="100" spans="6:7" x14ac:dyDescent="0.2">
      <c r="F100" s="5"/>
      <c r="G100" s="5"/>
    </row>
    <row r="101" spans="6:7" x14ac:dyDescent="0.2">
      <c r="F101" s="5"/>
      <c r="G101" s="5"/>
    </row>
    <row r="102" spans="6:7" x14ac:dyDescent="0.2">
      <c r="F102" s="5"/>
      <c r="G102" s="5"/>
    </row>
  </sheetData>
  <mergeCells count="8">
    <mergeCell ref="A70:C70"/>
    <mergeCell ref="E70:H70"/>
    <mergeCell ref="A4:C4"/>
    <mergeCell ref="A2:C2"/>
    <mergeCell ref="A3:C3"/>
    <mergeCell ref="A9:C9"/>
    <mergeCell ref="A47:C47"/>
    <mergeCell ref="E47:H47"/>
  </mergeCells>
  <pageMargins left="0.7" right="0.7" top="0.75" bottom="0.75" header="0.3" footer="0.3"/>
  <pageSetup paperSize="5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OPM Choice Illustration</vt:lpstr>
      <vt:lpstr>'OPM Choice Illustration'!Print_Area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Volk</dc:creator>
  <cp:lastModifiedBy>Microsoft Office User</cp:lastModifiedBy>
  <cp:lastPrinted>2012-05-30T01:37:53Z</cp:lastPrinted>
  <dcterms:created xsi:type="dcterms:W3CDTF">2012-05-19T16:35:12Z</dcterms:created>
  <dcterms:modified xsi:type="dcterms:W3CDTF">2022-05-10T18:52:53Z</dcterms:modified>
</cp:coreProperties>
</file>